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U:\IGE\5. TÖÖS PROJEKTID\JB26 Kohtla-Järve ja Jõhvi ÜVKA 159-19\6.TEOSTATUD TÖÖ\Jõhvi\"/>
    </mc:Choice>
  </mc:AlternateContent>
  <xr:revisionPtr revIDLastSave="0" documentId="13_ncr:1_{5A3887E2-459F-41D4-94E8-35D37F0D5C4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rbimine" sheetId="1" r:id="rId1"/>
  </sheets>
  <calcPr calcId="191029"/>
</workbook>
</file>

<file path=xl/calcChain.xml><?xml version="1.0" encoding="utf-8"?>
<calcChain xmlns="http://schemas.openxmlformats.org/spreadsheetml/2006/main">
  <c r="K10" i="1" l="1"/>
  <c r="J10" i="1"/>
  <c r="I10" i="1"/>
  <c r="H10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G16" i="1" s="1"/>
  <c r="G17" i="1" s="1"/>
  <c r="D18" i="1"/>
  <c r="E18" i="1"/>
  <c r="F18" i="1"/>
  <c r="D19" i="1"/>
  <c r="E19" i="1"/>
  <c r="F19" i="1"/>
  <c r="G20" i="1"/>
  <c r="G19" i="1" s="1"/>
  <c r="I20" i="1"/>
  <c r="K20" i="1"/>
  <c r="M20" i="1"/>
  <c r="P20" i="1"/>
  <c r="S20" i="1"/>
  <c r="G21" i="1"/>
  <c r="H21" i="1"/>
  <c r="D22" i="1"/>
  <c r="E22" i="1"/>
  <c r="F22" i="1"/>
  <c r="H23" i="1"/>
  <c r="H20" i="1" s="1"/>
  <c r="H19" i="1" s="1"/>
  <c r="J23" i="1"/>
  <c r="J20" i="1" s="1"/>
  <c r="L23" i="1"/>
  <c r="L20" i="1" s="1"/>
  <c r="N23" i="1"/>
  <c r="O23" i="1" s="1"/>
  <c r="Q23" i="1"/>
  <c r="Q20" i="1" s="1"/>
  <c r="R23" i="1"/>
  <c r="R20" i="1" s="1"/>
  <c r="D24" i="1"/>
  <c r="E24" i="1"/>
  <c r="F24" i="1"/>
  <c r="G24" i="1"/>
  <c r="I24" i="1"/>
  <c r="J24" i="1"/>
  <c r="K24" i="1"/>
  <c r="L24" i="1"/>
  <c r="M24" i="1"/>
  <c r="P24" i="1"/>
  <c r="Q24" i="1"/>
  <c r="R24" i="1"/>
  <c r="S24" i="1"/>
  <c r="H9" i="1"/>
  <c r="Q12" i="1"/>
  <c r="Q13" i="1" s="1"/>
  <c r="O12" i="1"/>
  <c r="O13" i="1" s="1"/>
  <c r="N12" i="1"/>
  <c r="N13" i="1" s="1"/>
  <c r="L12" i="1"/>
  <c r="L13" i="1" s="1"/>
  <c r="J12" i="1"/>
  <c r="J13" i="1" s="1"/>
  <c r="H12" i="1"/>
  <c r="H13" i="1"/>
  <c r="I13" i="1"/>
  <c r="K13" i="1"/>
  <c r="M13" i="1"/>
  <c r="P13" i="1"/>
  <c r="S13" i="1"/>
  <c r="G13" i="1"/>
  <c r="F7" i="1"/>
  <c r="E7" i="1"/>
  <c r="D7" i="1"/>
  <c r="K8" i="1" l="1"/>
  <c r="O24" i="1"/>
  <c r="O20" i="1"/>
  <c r="N20" i="1"/>
  <c r="H24" i="1"/>
  <c r="I21" i="1"/>
  <c r="N24" i="1"/>
  <c r="R12" i="1"/>
  <c r="R13" i="1" s="1"/>
  <c r="J21" i="1" l="1"/>
  <c r="I19" i="1"/>
  <c r="K21" i="1" l="1"/>
  <c r="J19" i="1"/>
  <c r="L21" i="1" l="1"/>
  <c r="K19" i="1"/>
  <c r="M21" i="1" l="1"/>
  <c r="L19" i="1"/>
  <c r="N21" i="1" l="1"/>
  <c r="M19" i="1"/>
  <c r="O21" i="1" l="1"/>
  <c r="N19" i="1"/>
  <c r="P21" i="1" l="1"/>
  <c r="O19" i="1"/>
  <c r="Q21" i="1" l="1"/>
  <c r="P19" i="1"/>
  <c r="R21" i="1" l="1"/>
  <c r="Q19" i="1"/>
  <c r="S21" i="1" l="1"/>
  <c r="R19" i="1"/>
  <c r="S19" i="1" l="1"/>
  <c r="R31" i="1" l="1"/>
  <c r="R32" i="1" s="1"/>
  <c r="S31" i="1"/>
  <c r="S32" i="1" s="1"/>
  <c r="Q31" i="1" l="1"/>
  <c r="Q32" i="1" s="1"/>
  <c r="P31" i="1"/>
  <c r="P32" i="1" s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H31" i="1"/>
  <c r="H32" i="1" s="1"/>
  <c r="H33" i="1" s="1"/>
  <c r="G31" i="1"/>
  <c r="G32" i="1" s="1"/>
  <c r="F31" i="1"/>
  <c r="F32" i="1" s="1"/>
  <c r="E31" i="1"/>
  <c r="E32" i="1" s="1"/>
  <c r="F17" i="1"/>
  <c r="E17" i="1"/>
  <c r="D17" i="1"/>
  <c r="G15" i="1"/>
  <c r="F15" i="1"/>
  <c r="E15" i="1"/>
  <c r="D15" i="1"/>
  <c r="F11" i="1"/>
  <c r="E11" i="1"/>
  <c r="D11" i="1"/>
  <c r="L10" i="1"/>
  <c r="M10" i="1" s="1"/>
  <c r="N10" i="1" s="1"/>
  <c r="O10" i="1" s="1"/>
  <c r="P10" i="1" s="1"/>
  <c r="Q10" i="1" s="1"/>
  <c r="R10" i="1" s="1"/>
  <c r="S10" i="1" s="1"/>
  <c r="F8" i="1"/>
  <c r="F6" i="1" s="1"/>
  <c r="E8" i="1"/>
  <c r="E6" i="1" s="1"/>
  <c r="D8" i="1"/>
  <c r="D6" i="1" s="1"/>
  <c r="G4" i="1"/>
  <c r="F4" i="1"/>
  <c r="E4" i="1"/>
  <c r="D4" i="1"/>
  <c r="D13" i="1" s="1"/>
  <c r="E13" i="1" l="1"/>
  <c r="I33" i="1"/>
  <c r="H15" i="1"/>
  <c r="H4" i="1"/>
  <c r="F13" i="1"/>
  <c r="I4" i="1" l="1"/>
  <c r="J33" i="1"/>
  <c r="I15" i="1"/>
  <c r="K33" i="1" l="1"/>
  <c r="J15" i="1"/>
  <c r="J4" i="1"/>
  <c r="K15" i="1" l="1"/>
  <c r="K4" i="1"/>
  <c r="L33" i="1"/>
  <c r="L4" i="1" l="1"/>
  <c r="M33" i="1"/>
  <c r="L15" i="1"/>
  <c r="N33" i="1" l="1"/>
  <c r="M15" i="1"/>
  <c r="M4" i="1"/>
  <c r="N4" i="1" l="1"/>
  <c r="O33" i="1"/>
  <c r="N15" i="1"/>
  <c r="P33" i="1" l="1"/>
  <c r="O15" i="1"/>
  <c r="O4" i="1"/>
  <c r="Q33" i="1" l="1"/>
  <c r="R33" i="1" s="1"/>
  <c r="P15" i="1"/>
  <c r="P4" i="1"/>
  <c r="R4" i="1" l="1"/>
  <c r="R15" i="1"/>
  <c r="S33" i="1"/>
  <c r="Q4" i="1"/>
  <c r="Q15" i="1"/>
  <c r="S4" i="1" l="1"/>
  <c r="S15" i="1"/>
  <c r="H8" i="1" l="1"/>
  <c r="H5" i="1" s="1"/>
  <c r="H6" i="1" s="1"/>
  <c r="G9" i="1"/>
  <c r="G8" i="1" s="1"/>
  <c r="G5" i="1" s="1"/>
  <c r="G6" i="1" s="1"/>
  <c r="I9" i="1" l="1"/>
  <c r="I8" i="1" s="1"/>
  <c r="I5" i="1" s="1"/>
  <c r="I6" i="1" s="1"/>
  <c r="J9" i="1" l="1"/>
  <c r="J8" i="1" s="1"/>
  <c r="J5" i="1" s="1"/>
  <c r="J6" i="1" s="1"/>
  <c r="K9" i="1" l="1"/>
  <c r="K5" i="1" s="1"/>
  <c r="K6" i="1" s="1"/>
  <c r="L9" i="1" l="1"/>
  <c r="L8" i="1" s="1"/>
  <c r="L5" i="1" s="1"/>
  <c r="L6" i="1" s="1"/>
  <c r="M9" i="1" l="1"/>
  <c r="M8" i="1" s="1"/>
  <c r="M5" i="1" s="1"/>
  <c r="M6" i="1" s="1"/>
  <c r="N9" i="1" l="1"/>
  <c r="N8" i="1" s="1"/>
  <c r="N5" i="1" s="1"/>
  <c r="N6" i="1" s="1"/>
  <c r="O9" i="1" l="1"/>
  <c r="O8" i="1" s="1"/>
  <c r="O5" i="1" s="1"/>
  <c r="O6" i="1" s="1"/>
  <c r="P9" i="1" l="1"/>
  <c r="P8" i="1" s="1"/>
  <c r="P5" i="1" s="1"/>
  <c r="P6" i="1" s="1"/>
  <c r="Q9" i="1" l="1"/>
  <c r="Q8" i="1" s="1"/>
  <c r="Q5" i="1" s="1"/>
  <c r="Q6" i="1" s="1"/>
  <c r="R9" i="1" l="1"/>
  <c r="R8" i="1" s="1"/>
  <c r="R5" i="1" s="1"/>
  <c r="R6" i="1" s="1"/>
  <c r="S9" i="1"/>
  <c r="S8" i="1" s="1"/>
  <c r="S5" i="1" s="1"/>
  <c r="S6" i="1" s="1"/>
  <c r="H17" i="1" l="1"/>
  <c r="I17" i="1" l="1"/>
  <c r="H16" i="1"/>
  <c r="J17" i="1" l="1"/>
  <c r="I16" i="1"/>
  <c r="K17" i="1" l="1"/>
  <c r="J16" i="1"/>
  <c r="L17" i="1" l="1"/>
  <c r="K16" i="1"/>
  <c r="L16" i="1" l="1"/>
  <c r="M17" i="1"/>
  <c r="M16" i="1" l="1"/>
  <c r="N17" i="1"/>
  <c r="N16" i="1" l="1"/>
  <c r="O17" i="1"/>
  <c r="P17" i="1" l="1"/>
  <c r="O16" i="1"/>
  <c r="P16" i="1" l="1"/>
  <c r="Q17" i="1"/>
  <c r="Q16" i="1" l="1"/>
  <c r="R17" i="1"/>
  <c r="S17" i="1" l="1"/>
  <c r="S16" i="1" s="1"/>
  <c r="R16" i="1"/>
</calcChain>
</file>

<file path=xl/sharedStrings.xml><?xml version="1.0" encoding="utf-8"?>
<sst xmlns="http://schemas.openxmlformats.org/spreadsheetml/2006/main" count="61" uniqueCount="34">
  <si>
    <t>Näitaja</t>
  </si>
  <si>
    <t>Ühik</t>
  </si>
  <si>
    <t>Veevarustuse tarbimine kokku</t>
  </si>
  <si>
    <t>%</t>
  </si>
  <si>
    <t>Kanalisatsiooni tarbimine kokku</t>
  </si>
  <si>
    <t>Arvestamata vesi</t>
  </si>
  <si>
    <t>Infiltratsioon</t>
  </si>
  <si>
    <t>in</t>
  </si>
  <si>
    <t>l/d</t>
  </si>
  <si>
    <t>Elanike ühiktarbimine</t>
  </si>
  <si>
    <t>Veevarustusega liitunud elanike arv</t>
  </si>
  <si>
    <t>Veevarustusega liitunud elanike osakaal</t>
  </si>
  <si>
    <t>Kanalisatsiooniga liitunud elanike arv</t>
  </si>
  <si>
    <t>Kanalisatsiooniga liitunud elanike osakaal</t>
  </si>
  <si>
    <t>Reoveepuhastisse jõudvad vooluhulgad***</t>
  </si>
  <si>
    <r>
      <t>m</t>
    </r>
    <r>
      <rPr>
        <vertAlign val="superscript"/>
        <sz val="8"/>
        <color theme="1"/>
        <rFont val="Verdana"/>
        <family val="2"/>
        <charset val="186"/>
      </rPr>
      <t>3</t>
    </r>
    <r>
      <rPr>
        <sz val="8"/>
        <color theme="1"/>
        <rFont val="Verdana"/>
        <family val="2"/>
        <charset val="186"/>
      </rPr>
      <t>/a</t>
    </r>
  </si>
  <si>
    <t>Elanike arv kokku*</t>
  </si>
  <si>
    <t>NÄITAJA</t>
  </si>
  <si>
    <t>Rahvaarv Ida-Viru maakonnas</t>
  </si>
  <si>
    <t>Rahvaarv Jõhvi vallas</t>
  </si>
  <si>
    <t xml:space="preserve">Elanike veetarbimine </t>
  </si>
  <si>
    <r>
      <t>m</t>
    </r>
    <r>
      <rPr>
        <i/>
        <vertAlign val="superscript"/>
        <sz val="8"/>
        <color theme="1" tint="0.34998626667073579"/>
        <rFont val="Verdana"/>
        <family val="2"/>
        <charset val="186"/>
      </rPr>
      <t>3</t>
    </r>
    <r>
      <rPr>
        <i/>
        <sz val="8"/>
        <color theme="1" tint="0.34998626667073579"/>
        <rFont val="Verdana"/>
        <family val="2"/>
        <charset val="186"/>
      </rPr>
      <t>/a</t>
    </r>
  </si>
  <si>
    <t>Ettevõtete veetarbimine</t>
  </si>
  <si>
    <t>Elanike kanalisatsioon</t>
  </si>
  <si>
    <t>Ettevõtete kanalisatsioon</t>
  </si>
  <si>
    <t>Iive</t>
  </si>
  <si>
    <t>-</t>
  </si>
  <si>
    <t>Arvutuslik</t>
  </si>
  <si>
    <t>RV0240</t>
  </si>
  <si>
    <t>RV092</t>
  </si>
  <si>
    <t>VEEVARUSTUS</t>
  </si>
  <si>
    <t>KANALISATSIOON</t>
  </si>
  <si>
    <r>
      <rPr>
        <b/>
        <i/>
        <u/>
        <sz val="8"/>
        <color theme="1"/>
        <rFont val="Verdana"/>
        <family val="2"/>
        <charset val="186"/>
      </rPr>
      <t xml:space="preserve">Märkused: </t>
    </r>
    <r>
      <rPr>
        <i/>
        <sz val="8"/>
        <color theme="1"/>
        <rFont val="Verdana"/>
        <family val="2"/>
        <charset val="186"/>
      </rPr>
      <t xml:space="preserve">
* Jõhvi valla elanike arv, ÜVK-ga on osad külad ühendatud ainult osaliselt.
** Jõhvi valla asulatest Kohtla-Järve reoveepuhastile ja Edise reoveepuhastile jõudva reovee kogus kokku. </t>
    </r>
  </si>
  <si>
    <t>Väljapumbatud põhjavesi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</si>
</sst>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8"/>
      <name val="Verdana"/>
      <family val="2"/>
      <charset val="186"/>
    </font>
    <font>
      <sz val="8"/>
      <name val="Verdana"/>
      <family val="2"/>
      <charset val="186"/>
    </font>
    <font>
      <sz val="8"/>
      <color theme="1"/>
      <name val="Verdana"/>
      <family val="2"/>
      <charset val="186"/>
    </font>
    <font>
      <i/>
      <sz val="8"/>
      <color theme="1"/>
      <name val="Verdana"/>
      <family val="2"/>
      <charset val="186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i/>
      <sz val="8"/>
      <color theme="1" tint="0.34998626667073579"/>
      <name val="Verdana"/>
      <family val="2"/>
    </font>
    <font>
      <vertAlign val="superscript"/>
      <sz val="8"/>
      <color theme="1"/>
      <name val="Verdana"/>
      <family val="2"/>
      <charset val="186"/>
    </font>
    <font>
      <i/>
      <sz val="8"/>
      <color theme="1" tint="0.34998626667073579"/>
      <name val="Verdana"/>
      <family val="2"/>
      <charset val="186"/>
    </font>
    <font>
      <sz val="8"/>
      <color theme="1" tint="0.34998626667073579"/>
      <name val="Verdana"/>
      <family val="2"/>
      <charset val="186"/>
    </font>
    <font>
      <i/>
      <sz val="8"/>
      <color theme="1" tint="0.499984740745262"/>
      <name val="Verdana"/>
      <family val="2"/>
      <charset val="186"/>
    </font>
    <font>
      <b/>
      <i/>
      <u/>
      <sz val="8"/>
      <color theme="1"/>
      <name val="Verdana"/>
      <family val="2"/>
      <charset val="186"/>
    </font>
    <font>
      <b/>
      <sz val="12"/>
      <color rgb="FFFA7D00"/>
      <name val="Calibri"/>
      <family val="2"/>
      <scheme val="minor"/>
    </font>
    <font>
      <b/>
      <sz val="8"/>
      <name val="Verdana"/>
      <family val="2"/>
    </font>
    <font>
      <sz val="8"/>
      <color theme="1"/>
      <name val="Verdana"/>
      <family val="2"/>
    </font>
    <font>
      <sz val="8"/>
      <color theme="3"/>
      <name val="Verdana"/>
      <family val="2"/>
      <charset val="186"/>
    </font>
    <font>
      <b/>
      <sz val="8"/>
      <color theme="3"/>
      <name val="Verdana"/>
      <family val="2"/>
      <charset val="186"/>
    </font>
    <font>
      <i/>
      <vertAlign val="superscript"/>
      <sz val="8"/>
      <color theme="1" tint="0.34998626667073579"/>
      <name val="Verdana"/>
      <family val="2"/>
      <charset val="186"/>
    </font>
    <font>
      <i/>
      <sz val="8"/>
      <color theme="3"/>
      <name val="Verdana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6" fillId="7" borderId="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Border="0" applyAlignment="0"/>
  </cellStyleXfs>
  <cellXfs count="68">
    <xf numFmtId="0" fontId="0" fillId="0" borderId="0" xfId="0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6" borderId="1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14" fontId="10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" fontId="17" fillId="6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8" fillId="8" borderId="4" xfId="0" applyFont="1" applyFill="1" applyBorder="1" applyAlignment="1">
      <alignment vertical="center"/>
    </xf>
    <xf numFmtId="10" fontId="18" fillId="0" borderId="1" xfId="5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4" fillId="6" borderId="4" xfId="4" applyFont="1" applyFill="1" applyBorder="1" applyAlignment="1">
      <alignment vertical="center"/>
    </xf>
    <xf numFmtId="0" fontId="4" fillId="6" borderId="5" xfId="4" applyFont="1" applyFill="1" applyBorder="1" applyAlignment="1">
      <alignment vertical="center"/>
    </xf>
    <xf numFmtId="0" fontId="4" fillId="6" borderId="6" xfId="4" applyFont="1" applyFill="1" applyBorder="1" applyAlignment="1">
      <alignment vertical="center"/>
    </xf>
    <xf numFmtId="0" fontId="4" fillId="6" borderId="4" xfId="3" applyFont="1" applyFill="1" applyBorder="1" applyAlignment="1">
      <alignment vertical="center"/>
    </xf>
    <xf numFmtId="0" fontId="4" fillId="6" borderId="5" xfId="3" applyFont="1" applyFill="1" applyBorder="1" applyAlignment="1">
      <alignment vertical="center"/>
    </xf>
    <xf numFmtId="0" fontId="4" fillId="6" borderId="6" xfId="3" applyFont="1" applyFill="1" applyBorder="1" applyAlignment="1">
      <alignment vertical="center"/>
    </xf>
    <xf numFmtId="0" fontId="17" fillId="6" borderId="4" xfId="2" applyFont="1" applyFill="1" applyBorder="1" applyAlignment="1">
      <alignment vertical="center"/>
    </xf>
    <xf numFmtId="0" fontId="19" fillId="0" borderId="0" xfId="0" applyFont="1" applyAlignment="1">
      <alignment vertical="center"/>
    </xf>
    <xf numFmtId="1" fontId="20" fillId="6" borderId="1" xfId="0" applyNumberFormat="1" applyFont="1" applyFill="1" applyBorder="1" applyAlignment="1">
      <alignment horizontal="center" vertical="center"/>
    </xf>
    <xf numFmtId="0" fontId="20" fillId="6" borderId="5" xfId="4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/>
    </xf>
    <xf numFmtId="3" fontId="19" fillId="0" borderId="1" xfId="1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3" fontId="22" fillId="0" borderId="1" xfId="7" applyNumberFormat="1" applyFont="1" applyFill="1" applyBorder="1" applyAlignment="1">
      <alignment horizontal="center" vertical="center"/>
    </xf>
    <xf numFmtId="3" fontId="12" fillId="0" borderId="1" xfId="7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9" fillId="0" borderId="1" xfId="7" applyNumberFormat="1" applyFont="1" applyFill="1" applyBorder="1" applyAlignment="1">
      <alignment horizontal="center" vertical="center"/>
    </xf>
    <xf numFmtId="3" fontId="5" fillId="0" borderId="1" xfId="7" applyNumberFormat="1" applyFont="1" applyFill="1" applyBorder="1" applyAlignment="1">
      <alignment horizontal="center" vertical="center"/>
    </xf>
    <xf numFmtId="0" fontId="20" fillId="6" borderId="5" xfId="3" applyFont="1" applyFill="1" applyBorder="1" applyAlignment="1">
      <alignment vertical="center"/>
    </xf>
    <xf numFmtId="3" fontId="14" fillId="9" borderId="1" xfId="0" applyNumberFormat="1" applyFont="1" applyFill="1" applyBorder="1" applyAlignment="1">
      <alignment horizontal="center" vertical="center"/>
    </xf>
    <xf numFmtId="0" fontId="17" fillId="6" borderId="1" xfId="2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3" fontId="18" fillId="9" borderId="1" xfId="0" applyNumberFormat="1" applyFont="1" applyFill="1" applyBorder="1" applyAlignment="1">
      <alignment horizontal="center" vertical="center"/>
    </xf>
    <xf numFmtId="3" fontId="19" fillId="9" borderId="1" xfId="0" applyNumberFormat="1" applyFont="1" applyFill="1" applyBorder="1" applyAlignment="1">
      <alignment horizontal="center" vertical="center"/>
    </xf>
    <xf numFmtId="10" fontId="19" fillId="0" borderId="1" xfId="5" applyNumberFormat="1" applyFont="1" applyBorder="1" applyAlignment="1">
      <alignment horizontal="center" vertical="center"/>
    </xf>
    <xf numFmtId="0" fontId="23" fillId="0" borderId="0" xfId="8"/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5" fillId="0" borderId="1" xfId="5" applyNumberFormat="1" applyFont="1" applyBorder="1" applyAlignment="1">
      <alignment horizontal="center" vertical="center"/>
    </xf>
    <xf numFmtId="164" fontId="19" fillId="0" borderId="1" xfId="5" applyNumberFormat="1" applyFont="1" applyFill="1" applyBorder="1" applyAlignment="1">
      <alignment horizontal="center" vertical="center"/>
    </xf>
    <xf numFmtId="164" fontId="5" fillId="0" borderId="1" xfId="5" applyNumberFormat="1" applyFont="1" applyFill="1" applyBorder="1" applyAlignment="1">
      <alignment horizontal="center" vertical="center"/>
    </xf>
    <xf numFmtId="164" fontId="6" fillId="0" borderId="7" xfId="5" applyNumberFormat="1" applyFont="1" applyFill="1" applyBorder="1" applyAlignment="1">
      <alignment horizontal="center" vertical="center"/>
    </xf>
    <xf numFmtId="164" fontId="19" fillId="0" borderId="7" xfId="7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19" fillId="0" borderId="1" xfId="7" applyNumberFormat="1" applyFont="1" applyFill="1" applyBorder="1" applyAlignment="1">
      <alignment horizontal="center" vertical="center"/>
    </xf>
  </cellXfs>
  <cellStyles count="10">
    <cellStyle name="20% – rõhk3" xfId="3" builtinId="38"/>
    <cellStyle name="60% – rõhk3" xfId="4" builtinId="40"/>
    <cellStyle name="Arvutus" xfId="7" builtinId="22"/>
    <cellStyle name="Hea" xfId="1" builtinId="26"/>
    <cellStyle name="Hüperlink" xfId="8" builtinId="8"/>
    <cellStyle name="Normaallaad" xfId="0" builtinId="0"/>
    <cellStyle name="Normal 2" xfId="6" xr:uid="{00000000-0005-0000-0000-000006000000}"/>
    <cellStyle name="Normal 3" xfId="9" xr:uid="{83F79AE4-3766-421A-BDF9-0F40AA67584E}"/>
    <cellStyle name="Protsent" xfId="5" builtinId="5"/>
    <cellStyle name="Rõhk3" xfId="2" builtin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Tsõbulski" id="{A4ECEA49-5672-FA40-AA3F-439C7FA505C8}" userId="S::helena.tsobulski@ttu.ee::f0234cd2-e629-428d-b6fa-600a85d7162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0-04-29T22:57:52.12" personId="{A4ECEA49-5672-FA40-AA3F-439C7FA505C8}" id="{948C8192-F9D4-FE47-9FBD-9FC276770346}">
    <text>Tarbimine kokku + eeldatav infiltratsioon</text>
  </threadedComment>
  <threadedComment ref="G6" dT="2020-04-29T22:56:23.77" personId="{A4ECEA49-5672-FA40-AA3F-439C7FA505C8}" id="{08FC5B84-7209-414A-A1C6-4656CEF5B3EA}">
    <text xml:space="preserve">Arvestatud eelneva aasta ja prognoositava infiltratsiooni alusel, järgneva loogika abil: 
Kui eelmine aasta oli infiltratsioon näiteks 10000 m3/a, mis teeb 10% kogu voolust ja käesoleval aastal on eelduste kohaselt 5% infiltratsiooni, siis selle hulk X = 5x10000/10 = 5000 m3/a. 
</text>
  </threadedComment>
  <threadedComment ref="G7" dT="2020-04-29T22:46:34.33" personId="{A4ECEA49-5672-FA40-AA3F-439C7FA505C8}" id="{DF642804-0BD8-474B-BC38-B8E75F3A0CA1}">
    <text>Arvestatud, et iga aasta paraneb veidi..</text>
  </threadedComment>
  <threadedComment ref="G9" dT="2020-04-29T22:44:40.93" personId="{A4ECEA49-5672-FA40-AA3F-439C7FA505C8}" id="{583409AE-F840-2C48-911E-F1AB108EDACB}">
    <text>Arvutatud lähtuvalt ühiktarbimisest ja liitunud elanike arvust.
Elanike tarbimine = ühiktarbimine x liitujate arv x 365 / 1000</text>
  </threadedComment>
  <threadedComment ref="G10" dT="2020-04-29T22:35:51.31" personId="{A4ECEA49-5672-FA40-AA3F-439C7FA505C8}" id="{2527F2FA-15C1-A44E-9FCF-EA2FF059D5EA}">
    <text>Võetud eelneva 3 aasta keskmine ja arvestatud konstantsena läbi järgnevate aastate.</text>
  </threadedComment>
  <threadedComment ref="G11" dT="2020-04-29T22:35:51.31" personId="{A4ECEA49-5672-FA40-AA3F-439C7FA505C8}" id="{075D34AB-DA5A-FC44-A54B-6E4D3FA51EA4}">
    <text>Võetud eelneva 3 aasta keskmine ja arvestatud konstantsena läbi järgnevate aastate.</text>
  </threadedComment>
  <threadedComment ref="G12" dT="2020-04-29T22:31:46.19" personId="{A4ECEA49-5672-FA40-AA3F-439C7FA505C8}" id="{78D287DA-821F-A04A-BBA1-1CE919C19174}">
    <text>Lähtuvalt prognoositavast elanike arvust ja liitujate protsendist.</text>
  </threadedComment>
  <threadedComment ref="G13" dT="2020-04-29T22:29:45.42" personId="{A4ECEA49-5672-FA40-AA3F-439C7FA505C8}" id="{14261B26-E724-984B-BD76-7B09E80C0B80}">
    <text>Oletatud, et kasvab iga aasta natuke, kuni lõpuks jääb 99% peale püsima.</text>
  </threadedComment>
  <threadedComment ref="G15" dT="2020-04-29T22:57:52.12" personId="{A4ECEA49-5672-FA40-AA3F-439C7FA505C8}" id="{755A53F4-8987-D34B-8E3A-506EACB997D0}">
    <text>Tarbimine kokku + eeldatav infiltratsioon</text>
  </threadedComment>
  <threadedComment ref="G16" dT="2020-04-29T22:56:23.77" personId="{A4ECEA49-5672-FA40-AA3F-439C7FA505C8}" id="{44F67976-93E2-7A41-810E-3EF7D61DA503}">
    <text xml:space="preserve">Arvestatud eelneva aasta ja prognoositava infiltratsiooni alusel, järgneva loogika abil: 
Kui eelmine aasta oli infiltratsioon näiteks 10000 m3/a, mis teeb 10% kogu voolust ja käesoleval aastal on eelduste kohaselt 5% infiltratsiooni, siis selle hulk X = 5x10000/10 = 5000 m3/a. 
</text>
  </threadedComment>
  <threadedComment ref="G17" dT="2020-04-29T22:46:34.33" personId="{A4ECEA49-5672-FA40-AA3F-439C7FA505C8}" id="{758B952C-BF98-0F4B-8058-F40C521BEB29}">
    <text>Arvestatud, et iga aasta paraneb veidi..</text>
  </threadedComment>
  <threadedComment ref="G19" dT="2020-04-29T22:44:40.93" personId="{A4ECEA49-5672-FA40-AA3F-439C7FA505C8}" id="{A95CC9DB-FE34-3548-85F5-668D847A4A74}">
    <text>Arvutatud lähtuvalt ühiktarbimisest ja liitunud elanike arvust.
Elanike tarbimine = ühiktarbimine x liitujate arv x 365 / 1000</text>
  </threadedComment>
  <threadedComment ref="G20" dT="2020-04-29T22:35:51.31" personId="{A4ECEA49-5672-FA40-AA3F-439C7FA505C8}" id="{B8E53502-5F17-0E41-AC15-5D55ABB7C0AE}">
    <text>Võetud eelneva 3 aasta keskmine ja arvestatud konstantsena läbi järgnevate aastate.</text>
  </threadedComment>
  <threadedComment ref="G21" dT="2020-04-29T22:35:51.31" personId="{A4ECEA49-5672-FA40-AA3F-439C7FA505C8}" id="{E4F46BB5-C829-C44F-94D4-B91C3E6C6EB4}">
    <text>Võetud eelneva 3 aasta keskmine ja arvestatud konstantsena läbi järgnevate aastate.</text>
  </threadedComment>
  <threadedComment ref="G22" dT="2020-04-29T22:31:35.10" personId="{A4ECEA49-5672-FA40-AA3F-439C7FA505C8}" id="{99E6F104-4FC9-8F42-B01F-8759EE656CB5}">
    <text>Lähtuvalt prognoositavast elanike arvust ja liitujate protsendist.</text>
  </threadedComment>
  <threadedComment ref="G23" dT="2020-04-29T22:29:45.42" personId="{A4ECEA49-5672-FA40-AA3F-439C7FA505C8}" id="{0EA97379-3DAB-1241-9068-902D26EB3084}">
    <text>Oletatud, et kasvab iga aasta natuke, kuni lõpuks jääb 99% peale püsima.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ndmed.stat.ee/et/stat/rahvastik__rahvastikunaitajad-ja-koosseis__rahvaarv-ja-rahvastiku-koosseis/RV0240/sortedtable/tableViewSorted" TargetMode="External"/><Relationship Id="rId1" Type="http://schemas.openxmlformats.org/officeDocument/2006/relationships/hyperlink" Target="https://andmed.stat.ee/et/stat/rahvastik__rahvastikunaitajad-ja-koosseis__rahvaarv-ja-rahvastiku-koosseis/RV092/table/tableViewLayout2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33"/>
  <sheetViews>
    <sheetView tabSelected="1" zoomScaleNormal="100" workbookViewId="0">
      <pane ySplit="2" topLeftCell="A3" activePane="bottomLeft" state="frozen"/>
      <selection pane="bottomLeft" activeCell="U11" sqref="U11"/>
    </sheetView>
  </sheetViews>
  <sheetFormatPr defaultColWidth="9.140625" defaultRowHeight="15.75" customHeight="1" x14ac:dyDescent="0.25"/>
  <cols>
    <col min="1" max="1" width="2.85546875" style="7" customWidth="1"/>
    <col min="2" max="2" width="37.140625" style="7" bestFit="1" customWidth="1"/>
    <col min="3" max="3" width="6" style="7" customWidth="1"/>
    <col min="4" max="6" width="10.42578125" style="7" customWidth="1"/>
    <col min="7" max="7" width="10.42578125" style="34" customWidth="1"/>
    <col min="8" max="19" width="10.42578125" style="7" customWidth="1"/>
    <col min="20" max="22" width="9.140625" style="7"/>
    <col min="23" max="23" width="9.7109375" style="7" bestFit="1" customWidth="1"/>
    <col min="24" max="25" width="10.7109375" style="7" bestFit="1" customWidth="1"/>
    <col min="26" max="16384" width="9.140625" style="7"/>
  </cols>
  <sheetData>
    <row r="2" spans="2:21" ht="15.95" customHeight="1" x14ac:dyDescent="0.25">
      <c r="B2" s="8" t="s">
        <v>0</v>
      </c>
      <c r="C2" s="9" t="s">
        <v>1</v>
      </c>
      <c r="D2" s="10">
        <v>2017</v>
      </c>
      <c r="E2" s="10">
        <v>2018</v>
      </c>
      <c r="F2" s="10">
        <v>2019</v>
      </c>
      <c r="G2" s="35">
        <v>2020</v>
      </c>
      <c r="H2" s="10">
        <v>2021</v>
      </c>
      <c r="I2" s="10">
        <v>2022</v>
      </c>
      <c r="J2" s="10">
        <v>2023</v>
      </c>
      <c r="K2" s="10">
        <v>2024</v>
      </c>
      <c r="L2" s="10">
        <v>2025</v>
      </c>
      <c r="M2" s="10">
        <v>2026</v>
      </c>
      <c r="N2" s="10">
        <v>2027</v>
      </c>
      <c r="O2" s="10">
        <v>2028</v>
      </c>
      <c r="P2" s="10">
        <v>2029</v>
      </c>
      <c r="Q2" s="10">
        <v>2030</v>
      </c>
      <c r="R2" s="10">
        <v>2031</v>
      </c>
      <c r="S2" s="10">
        <v>2032</v>
      </c>
    </row>
    <row r="3" spans="2:21" ht="15.95" customHeight="1" x14ac:dyDescent="0.25">
      <c r="B3" s="27" t="s">
        <v>30</v>
      </c>
      <c r="C3" s="28"/>
      <c r="D3" s="28"/>
      <c r="E3" s="28"/>
      <c r="F3" s="28"/>
      <c r="G3" s="36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29"/>
    </row>
    <row r="4" spans="2:21" ht="15.95" customHeight="1" x14ac:dyDescent="0.25">
      <c r="B4" s="1" t="s">
        <v>16</v>
      </c>
      <c r="C4" s="2" t="s">
        <v>7</v>
      </c>
      <c r="D4" s="6">
        <f t="shared" ref="D4:E4" si="0">D33</f>
        <v>11620</v>
      </c>
      <c r="E4" s="6">
        <f t="shared" si="0"/>
        <v>11924</v>
      </c>
      <c r="F4" s="6">
        <f t="shared" ref="F4:Q4" si="1">F33</f>
        <v>12056</v>
      </c>
      <c r="G4" s="37">
        <f t="shared" si="1"/>
        <v>11852</v>
      </c>
      <c r="H4" s="6">
        <f t="shared" si="1"/>
        <v>11724.963841570278</v>
      </c>
      <c r="I4" s="6">
        <f t="shared" si="1"/>
        <v>11597.512260778129</v>
      </c>
      <c r="J4" s="6">
        <f t="shared" si="1"/>
        <v>11468.897497371188</v>
      </c>
      <c r="K4" s="6">
        <f t="shared" si="1"/>
        <v>11339.950396074308</v>
      </c>
      <c r="L4" s="6">
        <f t="shared" si="1"/>
        <v>11208.344591657904</v>
      </c>
      <c r="M4" s="6">
        <f t="shared" si="1"/>
        <v>11085.794994742377</v>
      </c>
      <c r="N4" s="6">
        <f t="shared" si="1"/>
        <v>10953.026007711182</v>
      </c>
      <c r="O4" s="6">
        <f t="shared" si="1"/>
        <v>10819.592344900106</v>
      </c>
      <c r="P4" s="6">
        <f t="shared" si="1"/>
        <v>10689.814398878374</v>
      </c>
      <c r="Q4" s="6">
        <f t="shared" si="1"/>
        <v>10560.202621801613</v>
      </c>
      <c r="R4" s="6">
        <f t="shared" ref="R4:S4" si="2">R33</f>
        <v>10429.843084472486</v>
      </c>
      <c r="S4" s="6">
        <f t="shared" si="2"/>
        <v>10303.471601822645</v>
      </c>
    </row>
    <row r="5" spans="2:21" ht="15.95" customHeight="1" x14ac:dyDescent="0.25">
      <c r="B5" s="1" t="s">
        <v>33</v>
      </c>
      <c r="C5" s="2" t="s">
        <v>15</v>
      </c>
      <c r="D5" s="38">
        <v>758938.12124999997</v>
      </c>
      <c r="E5" s="38">
        <v>775826.2649999999</v>
      </c>
      <c r="F5" s="38">
        <v>813124.19425311533</v>
      </c>
      <c r="G5" s="39">
        <f>(100%*G8)/(100%-G7)</f>
        <v>726288.46249638952</v>
      </c>
      <c r="H5" s="39">
        <f t="shared" ref="H5:S5" si="3">(100%*H8)/(100%-H7)</f>
        <v>751908.39774918591</v>
      </c>
      <c r="I5" s="39">
        <f t="shared" si="3"/>
        <v>757004.76168315997</v>
      </c>
      <c r="J5" s="39">
        <f t="shared" si="3"/>
        <v>742411.27954062098</v>
      </c>
      <c r="K5" s="39">
        <f t="shared" si="3"/>
        <v>733749.07572251779</v>
      </c>
      <c r="L5" s="39">
        <f t="shared" si="3"/>
        <v>722765.55651966133</v>
      </c>
      <c r="M5" s="39">
        <f t="shared" si="3"/>
        <v>712071.24767445656</v>
      </c>
      <c r="N5" s="39">
        <f t="shared" si="3"/>
        <v>699010.2485894016</v>
      </c>
      <c r="O5" s="39">
        <f t="shared" si="3"/>
        <v>690175.95573191822</v>
      </c>
      <c r="P5" s="39">
        <f t="shared" si="3"/>
        <v>681600.99269584368</v>
      </c>
      <c r="Q5" s="39">
        <f t="shared" si="3"/>
        <v>673771.94763321604</v>
      </c>
      <c r="R5" s="39">
        <f t="shared" si="3"/>
        <v>670014.41829049296</v>
      </c>
      <c r="S5" s="39">
        <f t="shared" si="3"/>
        <v>665475.81404865184</v>
      </c>
    </row>
    <row r="6" spans="2:21" ht="15.95" customHeight="1" x14ac:dyDescent="0.25">
      <c r="B6" s="11" t="s">
        <v>5</v>
      </c>
      <c r="C6" s="2" t="s">
        <v>15</v>
      </c>
      <c r="D6" s="12">
        <f>D5-D8</f>
        <v>151787.62424999999</v>
      </c>
      <c r="E6" s="12">
        <f t="shared" ref="E6:F6" si="4">E5-E8</f>
        <v>155165.25299999991</v>
      </c>
      <c r="F6" s="12">
        <f t="shared" si="4"/>
        <v>170615.09771988541</v>
      </c>
      <c r="G6" s="39">
        <f>G5-G8</f>
        <v>151288.14249638945</v>
      </c>
      <c r="H6" s="39">
        <f t="shared" ref="H6:S6" si="5">H5-H8</f>
        <v>150976.737749186</v>
      </c>
      <c r="I6" s="39">
        <f t="shared" si="5"/>
        <v>146478.79668316001</v>
      </c>
      <c r="J6" s="39">
        <f t="shared" si="5"/>
        <v>138405.50619062106</v>
      </c>
      <c r="K6" s="39">
        <f t="shared" si="5"/>
        <v>131759.00633901788</v>
      </c>
      <c r="L6" s="39">
        <f t="shared" si="5"/>
        <v>124996.34713616129</v>
      </c>
      <c r="M6" s="39">
        <f t="shared" si="5"/>
        <v>118522.89829095663</v>
      </c>
      <c r="N6" s="39">
        <f t="shared" si="5"/>
        <v>112007.80920590158</v>
      </c>
      <c r="O6" s="39">
        <f t="shared" si="5"/>
        <v>106446.47134841827</v>
      </c>
      <c r="P6" s="39">
        <f t="shared" si="5"/>
        <v>101144.46331234369</v>
      </c>
      <c r="Q6" s="39">
        <f t="shared" si="5"/>
        <v>99718.248249716009</v>
      </c>
      <c r="R6" s="39">
        <f t="shared" si="5"/>
        <v>99162.133906992967</v>
      </c>
      <c r="S6" s="39">
        <f t="shared" si="5"/>
        <v>97824.944665151881</v>
      </c>
    </row>
    <row r="7" spans="2:21" ht="15.95" customHeight="1" x14ac:dyDescent="0.25">
      <c r="B7" s="11" t="s">
        <v>5</v>
      </c>
      <c r="C7" s="13" t="s">
        <v>3</v>
      </c>
      <c r="D7" s="60">
        <f>D6/D5</f>
        <v>0.2</v>
      </c>
      <c r="E7" s="60">
        <f>E6/E5</f>
        <v>0.1999999999999999</v>
      </c>
      <c r="F7" s="60">
        <f>F6/F5</f>
        <v>0.20982661557205501</v>
      </c>
      <c r="G7" s="61">
        <v>0.20830310587116271</v>
      </c>
      <c r="H7" s="62">
        <v>0.2007913971982892</v>
      </c>
      <c r="I7" s="62">
        <v>0.19349785377501741</v>
      </c>
      <c r="J7" s="62">
        <v>0.18642699808691174</v>
      </c>
      <c r="K7" s="62">
        <v>0.17956957044106078</v>
      </c>
      <c r="L7" s="62">
        <v>0.17294175961850916</v>
      </c>
      <c r="M7" s="62">
        <v>0.16644808883667034</v>
      </c>
      <c r="N7" s="62">
        <v>0.1602377210233078</v>
      </c>
      <c r="O7" s="62">
        <v>0.15423091816569279</v>
      </c>
      <c r="P7" s="62">
        <v>0.14839248239985797</v>
      </c>
      <c r="Q7" s="62">
        <v>0.14799999999999999</v>
      </c>
      <c r="R7" s="62">
        <v>0.14799999999999999</v>
      </c>
      <c r="S7" s="62">
        <v>0.14699999999999999</v>
      </c>
    </row>
    <row r="8" spans="2:21" ht="15.95" customHeight="1" x14ac:dyDescent="0.25">
      <c r="B8" s="4" t="s">
        <v>2</v>
      </c>
      <c r="C8" s="5" t="s">
        <v>15</v>
      </c>
      <c r="D8" s="6">
        <f>D9+D10</f>
        <v>607150.49699999997</v>
      </c>
      <c r="E8" s="6">
        <f t="shared" ref="E8:Q8" si="6">E9+E10</f>
        <v>620661.01199999999</v>
      </c>
      <c r="F8" s="6">
        <f t="shared" si="6"/>
        <v>642509.09653322992</v>
      </c>
      <c r="G8" s="40">
        <f t="shared" si="6"/>
        <v>575000.32000000007</v>
      </c>
      <c r="H8" s="22">
        <f t="shared" si="6"/>
        <v>600931.65999999992</v>
      </c>
      <c r="I8" s="22">
        <f t="shared" si="6"/>
        <v>610525.96499999997</v>
      </c>
      <c r="J8" s="22">
        <f t="shared" si="6"/>
        <v>604005.77334999992</v>
      </c>
      <c r="K8" s="22">
        <f>K9+K10</f>
        <v>601990.06938349991</v>
      </c>
      <c r="L8" s="22">
        <f t="shared" si="6"/>
        <v>597769.20938350004</v>
      </c>
      <c r="M8" s="22">
        <f t="shared" si="6"/>
        <v>593548.34938349994</v>
      </c>
      <c r="N8" s="22">
        <f t="shared" si="6"/>
        <v>587002.43938350002</v>
      </c>
      <c r="O8" s="22">
        <f t="shared" si="6"/>
        <v>583729.48438349995</v>
      </c>
      <c r="P8" s="22">
        <f t="shared" si="6"/>
        <v>580456.52938349999</v>
      </c>
      <c r="Q8" s="22">
        <f t="shared" si="6"/>
        <v>574053.69938350003</v>
      </c>
      <c r="R8" s="22">
        <f t="shared" ref="R8:S8" si="7">R9+R10</f>
        <v>570852.28438349999</v>
      </c>
      <c r="S8" s="22">
        <f t="shared" si="7"/>
        <v>567650.86938349996</v>
      </c>
    </row>
    <row r="9" spans="2:21" s="14" customFormat="1" ht="15.95" customHeight="1" x14ac:dyDescent="0.25">
      <c r="B9" s="3" t="s">
        <v>20</v>
      </c>
      <c r="C9" s="41" t="s">
        <v>21</v>
      </c>
      <c r="D9" s="42">
        <v>381596.49699999997</v>
      </c>
      <c r="E9" s="42">
        <v>389206.01199999999</v>
      </c>
      <c r="F9" s="42">
        <v>426787.09653322992</v>
      </c>
      <c r="G9" s="43">
        <f>G11*G12*365/1000</f>
        <v>372580.32</v>
      </c>
      <c r="H9" s="44">
        <f>H11*H12*365/1000</f>
        <v>388390.66</v>
      </c>
      <c r="I9" s="44">
        <f t="shared" ref="H9:Q9" si="8">I11*I12*365/1000</f>
        <v>384169.8</v>
      </c>
      <c r="J9" s="44">
        <f t="shared" si="8"/>
        <v>379913.17</v>
      </c>
      <c r="K9" s="44">
        <f t="shared" si="8"/>
        <v>375656.54</v>
      </c>
      <c r="L9" s="44">
        <f t="shared" si="8"/>
        <v>371435.68</v>
      </c>
      <c r="M9" s="44">
        <f t="shared" si="8"/>
        <v>367214.82</v>
      </c>
      <c r="N9" s="44">
        <f t="shared" si="8"/>
        <v>360668.91</v>
      </c>
      <c r="O9" s="44">
        <f t="shared" si="8"/>
        <v>357395.95500000002</v>
      </c>
      <c r="P9" s="44">
        <f t="shared" si="8"/>
        <v>354123</v>
      </c>
      <c r="Q9" s="44">
        <f t="shared" si="8"/>
        <v>347720.17</v>
      </c>
      <c r="R9" s="44">
        <f t="shared" ref="R9:S9" si="9">R11*R12*365/1000</f>
        <v>344518.755</v>
      </c>
      <c r="S9" s="44">
        <f t="shared" si="9"/>
        <v>341317.34</v>
      </c>
    </row>
    <row r="10" spans="2:21" s="14" customFormat="1" ht="15.95" customHeight="1" x14ac:dyDescent="0.25">
      <c r="B10" s="3" t="s">
        <v>22</v>
      </c>
      <c r="C10" s="41" t="s">
        <v>21</v>
      </c>
      <c r="D10" s="42">
        <v>225554</v>
      </c>
      <c r="E10" s="42">
        <v>231455</v>
      </c>
      <c r="F10" s="42">
        <v>215722</v>
      </c>
      <c r="G10" s="45">
        <v>202420</v>
      </c>
      <c r="H10" s="46">
        <f>G10*105%</f>
        <v>212541</v>
      </c>
      <c r="I10" s="46">
        <f>H10*106.5%</f>
        <v>226356.16499999998</v>
      </c>
      <c r="J10" s="46">
        <f>I10*99%</f>
        <v>224092.60334999999</v>
      </c>
      <c r="K10" s="46">
        <f>J10*101%</f>
        <v>226333.52938349999</v>
      </c>
      <c r="L10" s="46">
        <f t="shared" ref="I10:Q11" si="10">K10</f>
        <v>226333.52938349999</v>
      </c>
      <c r="M10" s="46">
        <f t="shared" si="10"/>
        <v>226333.52938349999</v>
      </c>
      <c r="N10" s="46">
        <f t="shared" si="10"/>
        <v>226333.52938349999</v>
      </c>
      <c r="O10" s="46">
        <f t="shared" si="10"/>
        <v>226333.52938349999</v>
      </c>
      <c r="P10" s="46">
        <f t="shared" si="10"/>
        <v>226333.52938349999</v>
      </c>
      <c r="Q10" s="46">
        <f t="shared" si="10"/>
        <v>226333.52938349999</v>
      </c>
      <c r="R10" s="46">
        <f t="shared" ref="R10:R11" si="11">Q10</f>
        <v>226333.52938349999</v>
      </c>
      <c r="S10" s="46">
        <f t="shared" ref="S10:S11" si="12">R10</f>
        <v>226333.52938349999</v>
      </c>
      <c r="U10" s="65"/>
    </row>
    <row r="11" spans="2:21" ht="15.95" customHeight="1" x14ac:dyDescent="0.25">
      <c r="B11" s="1" t="s">
        <v>9</v>
      </c>
      <c r="C11" s="2" t="s">
        <v>8</v>
      </c>
      <c r="D11" s="6">
        <f>D9*1000/D12/365</f>
        <v>94.433190750114761</v>
      </c>
      <c r="E11" s="6">
        <f t="shared" ref="E11:F11" si="13">E9*1000/E12/365</f>
        <v>94.969526282142013</v>
      </c>
      <c r="F11" s="6">
        <f t="shared" si="13"/>
        <v>105.58783786611858</v>
      </c>
      <c r="G11" s="40">
        <v>93</v>
      </c>
      <c r="H11" s="47">
        <v>98</v>
      </c>
      <c r="I11" s="47">
        <v>98</v>
      </c>
      <c r="J11" s="47">
        <v>98</v>
      </c>
      <c r="K11" s="47">
        <v>98</v>
      </c>
      <c r="L11" s="47">
        <v>98</v>
      </c>
      <c r="M11" s="47">
        <v>98</v>
      </c>
      <c r="N11" s="47">
        <v>98</v>
      </c>
      <c r="O11" s="47">
        <v>98</v>
      </c>
      <c r="P11" s="47">
        <v>98</v>
      </c>
      <c r="Q11" s="47">
        <v>98</v>
      </c>
      <c r="R11" s="47">
        <v>98</v>
      </c>
      <c r="S11" s="47">
        <v>98</v>
      </c>
    </row>
    <row r="12" spans="2:21" ht="15.95" customHeight="1" x14ac:dyDescent="0.25">
      <c r="B12" s="1" t="s">
        <v>10</v>
      </c>
      <c r="C12" s="2" t="s">
        <v>7</v>
      </c>
      <c r="D12" s="38">
        <v>11071</v>
      </c>
      <c r="E12" s="38">
        <v>11228</v>
      </c>
      <c r="F12" s="38">
        <v>11074</v>
      </c>
      <c r="G12" s="48">
        <v>10976</v>
      </c>
      <c r="H12" s="49">
        <f>(G12+I12)/2</f>
        <v>10858</v>
      </c>
      <c r="I12" s="49">
        <v>10740</v>
      </c>
      <c r="J12" s="49">
        <f>(I12+K12)/2</f>
        <v>10621</v>
      </c>
      <c r="K12" s="49">
        <v>10502</v>
      </c>
      <c r="L12" s="49">
        <f>(K12+M12)/2</f>
        <v>10384</v>
      </c>
      <c r="M12" s="49">
        <v>10266</v>
      </c>
      <c r="N12" s="49">
        <f>(M12+P12)/2</f>
        <v>10083</v>
      </c>
      <c r="O12" s="49">
        <f>(N12+P12)/2</f>
        <v>9991.5</v>
      </c>
      <c r="P12" s="49">
        <v>9900</v>
      </c>
      <c r="Q12" s="49">
        <f>(P12+S12)/2</f>
        <v>9721</v>
      </c>
      <c r="R12" s="49">
        <f>(Q12+S12)/2</f>
        <v>9631.5</v>
      </c>
      <c r="S12" s="49">
        <v>9542</v>
      </c>
      <c r="T12" s="15"/>
    </row>
    <row r="13" spans="2:21" ht="15.95" customHeight="1" x14ac:dyDescent="0.25">
      <c r="B13" s="25" t="s">
        <v>11</v>
      </c>
      <c r="C13" s="26" t="s">
        <v>3</v>
      </c>
      <c r="D13" s="63">
        <f>D12/D4</f>
        <v>0.95275387263339073</v>
      </c>
      <c r="E13" s="63">
        <f>E12/E4</f>
        <v>0.94163032539416303</v>
      </c>
      <c r="F13" s="63">
        <f>F12/F4</f>
        <v>0.91854678168546777</v>
      </c>
      <c r="G13" s="64">
        <f>G12/G4</f>
        <v>0.92608842389470136</v>
      </c>
      <c r="H13" s="64">
        <f t="shared" ref="H13:S13" si="14">H12/H4</f>
        <v>0.9260582929478639</v>
      </c>
      <c r="I13" s="64">
        <f t="shared" si="14"/>
        <v>0.92606067219448718</v>
      </c>
      <c r="J13" s="64">
        <f t="shared" si="14"/>
        <v>0.92606983386454222</v>
      </c>
      <c r="K13" s="64">
        <f t="shared" si="14"/>
        <v>0.92610634378397361</v>
      </c>
      <c r="L13" s="64">
        <f t="shared" si="14"/>
        <v>0.92645260101376226</v>
      </c>
      <c r="M13" s="64">
        <f t="shared" si="14"/>
        <v>0.92604995896720277</v>
      </c>
      <c r="N13" s="64">
        <f t="shared" si="14"/>
        <v>0.92056752105777317</v>
      </c>
      <c r="O13" s="64">
        <f t="shared" si="14"/>
        <v>0.9234636279720434</v>
      </c>
      <c r="P13" s="64">
        <f t="shared" si="14"/>
        <v>0.92611523742065671</v>
      </c>
      <c r="Q13" s="64">
        <f t="shared" si="14"/>
        <v>0.92053157956751008</v>
      </c>
      <c r="R13" s="64">
        <f t="shared" si="14"/>
        <v>0.92345588730275086</v>
      </c>
      <c r="S13" s="64">
        <f t="shared" si="14"/>
        <v>0.92609562764379894</v>
      </c>
    </row>
    <row r="14" spans="2:21" ht="15.95" customHeight="1" x14ac:dyDescent="0.25">
      <c r="B14" s="30" t="s">
        <v>31</v>
      </c>
      <c r="C14" s="31"/>
      <c r="D14" s="31"/>
      <c r="E14" s="31"/>
      <c r="F14" s="31"/>
      <c r="G14" s="50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2"/>
      <c r="S14" s="32"/>
    </row>
    <row r="15" spans="2:21" ht="15.95" customHeight="1" x14ac:dyDescent="0.25">
      <c r="B15" s="1" t="s">
        <v>16</v>
      </c>
      <c r="C15" s="2" t="s">
        <v>7</v>
      </c>
      <c r="D15" s="6">
        <f>D33</f>
        <v>11620</v>
      </c>
      <c r="E15" s="6">
        <f t="shared" ref="E15:Q15" si="15">E33</f>
        <v>11924</v>
      </c>
      <c r="F15" s="6">
        <f t="shared" si="15"/>
        <v>12056</v>
      </c>
      <c r="G15" s="37">
        <f t="shared" si="15"/>
        <v>11852</v>
      </c>
      <c r="H15" s="6">
        <f t="shared" si="15"/>
        <v>11724.963841570278</v>
      </c>
      <c r="I15" s="6">
        <f t="shared" si="15"/>
        <v>11597.512260778129</v>
      </c>
      <c r="J15" s="6">
        <f t="shared" si="15"/>
        <v>11468.897497371188</v>
      </c>
      <c r="K15" s="6">
        <f t="shared" si="15"/>
        <v>11339.950396074308</v>
      </c>
      <c r="L15" s="6">
        <f t="shared" si="15"/>
        <v>11208.344591657904</v>
      </c>
      <c r="M15" s="6">
        <f t="shared" si="15"/>
        <v>11085.794994742377</v>
      </c>
      <c r="N15" s="6">
        <f t="shared" si="15"/>
        <v>10953.026007711182</v>
      </c>
      <c r="O15" s="6">
        <f t="shared" si="15"/>
        <v>10819.592344900106</v>
      </c>
      <c r="P15" s="6">
        <f t="shared" si="15"/>
        <v>10689.814398878374</v>
      </c>
      <c r="Q15" s="6">
        <f t="shared" si="15"/>
        <v>10560.202621801613</v>
      </c>
      <c r="R15" s="6">
        <f t="shared" ref="R15:S15" si="16">R33</f>
        <v>10429.843084472486</v>
      </c>
      <c r="S15" s="6">
        <f t="shared" si="16"/>
        <v>10303.471601822645</v>
      </c>
    </row>
    <row r="16" spans="2:21" ht="15.95" customHeight="1" x14ac:dyDescent="0.25">
      <c r="B16" s="1" t="s">
        <v>14</v>
      </c>
      <c r="C16" s="2" t="s">
        <v>15</v>
      </c>
      <c r="D16" s="38">
        <v>1305771.956521739</v>
      </c>
      <c r="E16" s="38">
        <v>1305623.7681159421</v>
      </c>
      <c r="F16" s="38">
        <v>1370149.813186584</v>
      </c>
      <c r="G16" s="39">
        <f>(100%*G19)/(100%-G18)</f>
        <v>1180855.9846972539</v>
      </c>
      <c r="H16" s="12">
        <f t="shared" ref="H16:Q16" si="17">H19+H17</f>
        <v>1211353.0561772538</v>
      </c>
      <c r="I16" s="12">
        <f t="shared" si="17"/>
        <v>1294259.1434743104</v>
      </c>
      <c r="J16" s="12">
        <f t="shared" si="17"/>
        <v>1269919.7869575226</v>
      </c>
      <c r="K16" s="12">
        <f t="shared" si="17"/>
        <v>1246587.2495165747</v>
      </c>
      <c r="L16" s="12">
        <f t="shared" si="17"/>
        <v>1224246.9601976739</v>
      </c>
      <c r="M16" s="12">
        <f t="shared" si="17"/>
        <v>1202815.325094718</v>
      </c>
      <c r="N16" s="12">
        <f t="shared" si="17"/>
        <v>1179939.7464969102</v>
      </c>
      <c r="O16" s="12">
        <f t="shared" si="17"/>
        <v>1161121.4133289927</v>
      </c>
      <c r="P16" s="12">
        <f t="shared" si="17"/>
        <v>1143729.9402533155</v>
      </c>
      <c r="Q16" s="12">
        <f t="shared" si="17"/>
        <v>1143935.5279609219</v>
      </c>
      <c r="R16" s="12">
        <f t="shared" ref="R16:S16" si="18">R19+R17</f>
        <v>1147365.1206556298</v>
      </c>
      <c r="S16" s="12">
        <f t="shared" si="18"/>
        <v>1155398.1612078149</v>
      </c>
    </row>
    <row r="17" spans="2:25" ht="15.95" customHeight="1" x14ac:dyDescent="0.25">
      <c r="B17" s="16" t="s">
        <v>6</v>
      </c>
      <c r="C17" s="2" t="s">
        <v>15</v>
      </c>
      <c r="D17" s="12">
        <f>D16-D19</f>
        <v>404789.30652173911</v>
      </c>
      <c r="E17" s="12">
        <f t="shared" ref="E17:F17" si="19">E16-E19</f>
        <v>404743.36811594211</v>
      </c>
      <c r="F17" s="12">
        <f t="shared" si="19"/>
        <v>473718.86318658409</v>
      </c>
      <c r="G17" s="39">
        <f>G16-G19</f>
        <v>351113.88869725389</v>
      </c>
      <c r="H17" s="12">
        <f t="shared" ref="H17:Q17" si="20">H18*G17/G18</f>
        <v>351113.88869725389</v>
      </c>
      <c r="I17" s="12">
        <f t="shared" si="20"/>
        <v>402727.63033575023</v>
      </c>
      <c r="J17" s="12">
        <f t="shared" si="20"/>
        <v>382591.24881896266</v>
      </c>
      <c r="K17" s="12">
        <f t="shared" si="20"/>
        <v>363461.68637801456</v>
      </c>
      <c r="L17" s="12">
        <f t="shared" si="20"/>
        <v>345288.60205911379</v>
      </c>
      <c r="M17" s="12">
        <f t="shared" si="20"/>
        <v>328024.17195615813</v>
      </c>
      <c r="N17" s="12">
        <f t="shared" si="20"/>
        <v>311622.96335835021</v>
      </c>
      <c r="O17" s="12">
        <f t="shared" si="20"/>
        <v>296041.81519043271</v>
      </c>
      <c r="P17" s="12">
        <f t="shared" si="20"/>
        <v>280351.59898533981</v>
      </c>
      <c r="Q17" s="12">
        <f t="shared" si="20"/>
        <v>281753.35698026646</v>
      </c>
      <c r="R17" s="12">
        <f t="shared" ref="R17" si="21">R18*Q17/Q18</f>
        <v>283162.12376516778</v>
      </c>
      <c r="S17" s="12">
        <f t="shared" ref="S17" si="22">S18*R17/R18</f>
        <v>282312.63739387225</v>
      </c>
    </row>
    <row r="18" spans="2:25" ht="15.95" customHeight="1" x14ac:dyDescent="0.25">
      <c r="B18" s="16" t="s">
        <v>6</v>
      </c>
      <c r="C18" s="13" t="s">
        <v>3</v>
      </c>
      <c r="D18" s="62">
        <f>D17/D16</f>
        <v>0.31</v>
      </c>
      <c r="E18" s="62">
        <f t="shared" ref="E18:S18" si="23">E17/E16</f>
        <v>0.31000000000000005</v>
      </c>
      <c r="F18" s="62">
        <f t="shared" si="23"/>
        <v>0.34574238424690723</v>
      </c>
      <c r="G18" s="61">
        <f>F18*86%</f>
        <v>0.2973384504523402</v>
      </c>
      <c r="H18" s="62">
        <f>G18</f>
        <v>0.2973384504523402</v>
      </c>
      <c r="I18" s="62">
        <f>H18*114.7%</f>
        <v>0.3410472026688342</v>
      </c>
      <c r="J18" s="62">
        <f>I18*95%</f>
        <v>0.32399484253539246</v>
      </c>
      <c r="K18" s="62">
        <f>J18*95%</f>
        <v>0.30779510040862285</v>
      </c>
      <c r="L18" s="62">
        <f>K18*95%</f>
        <v>0.29240534538819168</v>
      </c>
      <c r="M18" s="62">
        <f>L18*95%</f>
        <v>0.27778507811878211</v>
      </c>
      <c r="N18" s="62">
        <f>M18*95%</f>
        <v>0.26389582421284302</v>
      </c>
      <c r="O18" s="62">
        <f>N18*95%</f>
        <v>0.25070103300220087</v>
      </c>
      <c r="P18" s="62">
        <f>O18*94.7%</f>
        <v>0.23741387825308424</v>
      </c>
      <c r="Q18" s="62">
        <f>P18*100.5%</f>
        <v>0.23860094764434964</v>
      </c>
      <c r="R18" s="62">
        <f>Q18*100.5%</f>
        <v>0.23979395238257137</v>
      </c>
      <c r="S18" s="62">
        <f>R18*99.7%</f>
        <v>0.23907457052542366</v>
      </c>
    </row>
    <row r="19" spans="2:25" ht="15.95" customHeight="1" x14ac:dyDescent="0.25">
      <c r="B19" s="4" t="s">
        <v>4</v>
      </c>
      <c r="C19" s="5" t="s">
        <v>15</v>
      </c>
      <c r="D19" s="6">
        <f>D20+D21</f>
        <v>900982.64999999991</v>
      </c>
      <c r="E19" s="6">
        <f t="shared" ref="E19:Q19" si="24">E20+E21</f>
        <v>900880.4</v>
      </c>
      <c r="F19" s="6">
        <f t="shared" si="24"/>
        <v>896430.95</v>
      </c>
      <c r="G19" s="40">
        <f t="shared" si="24"/>
        <v>829742.09600000002</v>
      </c>
      <c r="H19" s="22">
        <f t="shared" si="24"/>
        <v>860239.16748000006</v>
      </c>
      <c r="I19" s="22">
        <f t="shared" si="24"/>
        <v>891531.51313856011</v>
      </c>
      <c r="J19" s="22">
        <f t="shared" si="24"/>
        <v>887328.53813856002</v>
      </c>
      <c r="K19" s="22">
        <f t="shared" si="24"/>
        <v>883125.56313856016</v>
      </c>
      <c r="L19" s="22">
        <f t="shared" si="24"/>
        <v>878958.35813856008</v>
      </c>
      <c r="M19" s="22">
        <f t="shared" si="24"/>
        <v>874791.15313856001</v>
      </c>
      <c r="N19" s="22">
        <f t="shared" si="24"/>
        <v>868316.78313856013</v>
      </c>
      <c r="O19" s="22">
        <f t="shared" si="24"/>
        <v>865079.59813856008</v>
      </c>
      <c r="P19" s="22">
        <f t="shared" si="24"/>
        <v>863378.34126797575</v>
      </c>
      <c r="Q19" s="22">
        <f t="shared" si="24"/>
        <v>862182.17098065547</v>
      </c>
      <c r="R19" s="22">
        <f t="shared" ref="R19:S19" si="25">R20+R21</f>
        <v>864202.996890462</v>
      </c>
      <c r="S19" s="22">
        <f t="shared" si="25"/>
        <v>873085.52381394268</v>
      </c>
    </row>
    <row r="20" spans="2:25" s="14" customFormat="1" ht="15.95" customHeight="1" x14ac:dyDescent="0.25">
      <c r="B20" s="17" t="s">
        <v>23</v>
      </c>
      <c r="C20" s="41" t="s">
        <v>21</v>
      </c>
      <c r="D20" s="51">
        <v>352878.24999999994</v>
      </c>
      <c r="E20" s="51">
        <v>352115.4</v>
      </c>
      <c r="F20" s="51">
        <v>390782.94999999995</v>
      </c>
      <c r="G20" s="43">
        <f>G22*G23*365/1000</f>
        <v>366062.88</v>
      </c>
      <c r="H20" s="44">
        <f>H22*H23*365/1000</f>
        <v>382649.57500000001</v>
      </c>
      <c r="I20" s="44">
        <f t="shared" ref="H20:Q20" si="26">I22*I23*365/1000</f>
        <v>379555.47</v>
      </c>
      <c r="J20" s="44">
        <f t="shared" si="26"/>
        <v>375352.495</v>
      </c>
      <c r="K20" s="44">
        <f t="shared" si="26"/>
        <v>371149.52</v>
      </c>
      <c r="L20" s="44">
        <f t="shared" si="26"/>
        <v>366982.315</v>
      </c>
      <c r="M20" s="44">
        <f t="shared" si="26"/>
        <v>362815.11</v>
      </c>
      <c r="N20" s="44">
        <f t="shared" si="26"/>
        <v>356340.74</v>
      </c>
      <c r="O20" s="44">
        <f t="shared" si="26"/>
        <v>353103.55499999999</v>
      </c>
      <c r="P20" s="44">
        <f t="shared" si="26"/>
        <v>349866.37</v>
      </c>
      <c r="Q20" s="44">
        <f t="shared" si="26"/>
        <v>343535.08</v>
      </c>
      <c r="R20" s="44">
        <f t="shared" ref="R20:S20" si="27">R22*R23*365/1000</f>
        <v>340369.435</v>
      </c>
      <c r="S20" s="44">
        <f t="shared" si="27"/>
        <v>337203.79</v>
      </c>
      <c r="W20" s="18"/>
      <c r="X20" s="18"/>
      <c r="Y20" s="18"/>
    </row>
    <row r="21" spans="2:25" s="14" customFormat="1" ht="15.95" customHeight="1" x14ac:dyDescent="0.25">
      <c r="B21" s="17" t="s">
        <v>24</v>
      </c>
      <c r="C21" s="41" t="s">
        <v>21</v>
      </c>
      <c r="D21" s="51">
        <v>548104.4</v>
      </c>
      <c r="E21" s="51">
        <v>548765</v>
      </c>
      <c r="F21" s="51">
        <v>505648</v>
      </c>
      <c r="G21" s="45">
        <f>F21*91.7%</f>
        <v>463679.21600000001</v>
      </c>
      <c r="H21" s="46">
        <f>G21*103%</f>
        <v>477589.59248000005</v>
      </c>
      <c r="I21" s="46">
        <f>H21*107.2%</f>
        <v>511976.04313856008</v>
      </c>
      <c r="J21" s="46">
        <f t="shared" ref="I21:Q22" si="28">I21</f>
        <v>511976.04313856008</v>
      </c>
      <c r="K21" s="46">
        <f t="shared" si="28"/>
        <v>511976.04313856008</v>
      </c>
      <c r="L21" s="46">
        <f t="shared" si="28"/>
        <v>511976.04313856008</v>
      </c>
      <c r="M21" s="46">
        <f t="shared" si="28"/>
        <v>511976.04313856008</v>
      </c>
      <c r="N21" s="46">
        <f t="shared" si="28"/>
        <v>511976.04313856008</v>
      </c>
      <c r="O21" s="46">
        <f t="shared" si="28"/>
        <v>511976.04313856008</v>
      </c>
      <c r="P21" s="46">
        <f>O21*100.3%</f>
        <v>513511.97126797569</v>
      </c>
      <c r="Q21" s="46">
        <f>P21*101%</f>
        <v>518647.09098065546</v>
      </c>
      <c r="R21" s="46">
        <f>Q21*101%</f>
        <v>523833.56189046201</v>
      </c>
      <c r="S21" s="46">
        <f>R21*102.3%</f>
        <v>535881.73381394264</v>
      </c>
    </row>
    <row r="22" spans="2:25" s="19" customFormat="1" ht="15.95" customHeight="1" x14ac:dyDescent="0.25">
      <c r="B22" s="4" t="s">
        <v>9</v>
      </c>
      <c r="C22" s="5" t="s">
        <v>8</v>
      </c>
      <c r="D22" s="6">
        <f>D20*1000/D23/365</f>
        <v>89.492708139164776</v>
      </c>
      <c r="E22" s="6">
        <f t="shared" ref="E22:F22" si="29">E20*1000/E23/365</f>
        <v>88.036112979320791</v>
      </c>
      <c r="F22" s="6">
        <f t="shared" si="29"/>
        <v>98.576394363141702</v>
      </c>
      <c r="G22" s="40">
        <v>93</v>
      </c>
      <c r="H22" s="47">
        <v>98</v>
      </c>
      <c r="I22" s="47">
        <v>98</v>
      </c>
      <c r="J22" s="47">
        <v>98</v>
      </c>
      <c r="K22" s="47">
        <v>98</v>
      </c>
      <c r="L22" s="47">
        <v>98</v>
      </c>
      <c r="M22" s="47">
        <v>98</v>
      </c>
      <c r="N22" s="47">
        <v>98</v>
      </c>
      <c r="O22" s="47">
        <v>98</v>
      </c>
      <c r="P22" s="47">
        <v>98</v>
      </c>
      <c r="Q22" s="47">
        <v>98</v>
      </c>
      <c r="R22" s="47">
        <v>98</v>
      </c>
      <c r="S22" s="47">
        <v>98</v>
      </c>
    </row>
    <row r="23" spans="2:25" ht="15.95" customHeight="1" x14ac:dyDescent="0.25">
      <c r="B23" s="4" t="s">
        <v>12</v>
      </c>
      <c r="C23" s="2" t="s">
        <v>7</v>
      </c>
      <c r="D23" s="38">
        <v>10803</v>
      </c>
      <c r="E23" s="38">
        <v>10958</v>
      </c>
      <c r="F23" s="38">
        <v>10861</v>
      </c>
      <c r="G23" s="48">
        <v>10784</v>
      </c>
      <c r="H23" s="49">
        <f>(G23+I23)/2</f>
        <v>10697.5</v>
      </c>
      <c r="I23" s="49">
        <v>10611</v>
      </c>
      <c r="J23" s="49">
        <f>(I23+K23)/2</f>
        <v>10493.5</v>
      </c>
      <c r="K23" s="49">
        <v>10376</v>
      </c>
      <c r="L23" s="49">
        <f>(K23+M23)/2</f>
        <v>10259.5</v>
      </c>
      <c r="M23" s="49">
        <v>10143</v>
      </c>
      <c r="N23" s="49">
        <f>(M23+P23)/2</f>
        <v>9962</v>
      </c>
      <c r="O23" s="49">
        <f>(N23+P23)/2</f>
        <v>9871.5</v>
      </c>
      <c r="P23" s="49">
        <v>9781</v>
      </c>
      <c r="Q23" s="49">
        <f>(P23+S23)/2</f>
        <v>9604</v>
      </c>
      <c r="R23" s="49">
        <f>(Q23+S23)/2</f>
        <v>9515.5</v>
      </c>
      <c r="S23" s="49">
        <v>9427</v>
      </c>
      <c r="T23" s="15"/>
    </row>
    <row r="24" spans="2:25" ht="15.95" customHeight="1" x14ac:dyDescent="0.25">
      <c r="B24" s="4" t="s">
        <v>13</v>
      </c>
      <c r="C24" s="5" t="s">
        <v>3</v>
      </c>
      <c r="D24" s="66">
        <f>D23/D4</f>
        <v>0.92969018932874359</v>
      </c>
      <c r="E24" s="66">
        <f>E23/E4</f>
        <v>0.91898691714189873</v>
      </c>
      <c r="F24" s="66">
        <f>F23/F4</f>
        <v>0.90087923025879235</v>
      </c>
      <c r="G24" s="67">
        <f>G23/G15</f>
        <v>0.90988862639217005</v>
      </c>
      <c r="H24" s="67">
        <f t="shared" ref="H24:S24" si="30">H23/H15</f>
        <v>0.91236955137316023</v>
      </c>
      <c r="I24" s="67">
        <f t="shared" si="30"/>
        <v>0.91493759708153655</v>
      </c>
      <c r="J24" s="67">
        <f t="shared" si="30"/>
        <v>0.91495281062588962</v>
      </c>
      <c r="K24" s="67">
        <f t="shared" si="30"/>
        <v>0.91499518406993996</v>
      </c>
      <c r="L24" s="67">
        <f t="shared" si="30"/>
        <v>0.9153448054796508</v>
      </c>
      <c r="M24" s="67">
        <f t="shared" si="30"/>
        <v>0.91495467892113169</v>
      </c>
      <c r="N24" s="67">
        <f t="shared" si="30"/>
        <v>0.90952034560919726</v>
      </c>
      <c r="O24" s="67">
        <f t="shared" si="30"/>
        <v>0.91237263709413263</v>
      </c>
      <c r="P24" s="67">
        <f t="shared" si="30"/>
        <v>0.91498314517287305</v>
      </c>
      <c r="Q24" s="67">
        <f t="shared" si="30"/>
        <v>0.90945224669955427</v>
      </c>
      <c r="R24" s="67">
        <f t="shared" si="30"/>
        <v>0.91233395583546972</v>
      </c>
      <c r="S24" s="67">
        <f t="shared" si="30"/>
        <v>0.91493434099749449</v>
      </c>
    </row>
    <row r="25" spans="2:25" ht="15.95" customHeight="1" x14ac:dyDescent="0.25">
      <c r="B25" s="58" t="s">
        <v>32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2:25" ht="15.95" customHeight="1" x14ac:dyDescent="0.25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2:25" ht="15.9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2:25" ht="15.95" customHeight="1" x14ac:dyDescent="0.25"/>
    <row r="29" spans="2:25" ht="15.95" customHeight="1" x14ac:dyDescent="0.25">
      <c r="B29" s="33" t="s">
        <v>17</v>
      </c>
      <c r="C29" s="52" t="s">
        <v>1</v>
      </c>
      <c r="D29" s="20">
        <v>2017</v>
      </c>
      <c r="E29" s="20">
        <v>2018</v>
      </c>
      <c r="F29" s="20">
        <v>2019</v>
      </c>
      <c r="G29" s="35">
        <v>2020</v>
      </c>
      <c r="H29" s="20">
        <v>2021</v>
      </c>
      <c r="I29" s="20">
        <v>2022</v>
      </c>
      <c r="J29" s="20">
        <v>2023</v>
      </c>
      <c r="K29" s="20">
        <v>2024</v>
      </c>
      <c r="L29" s="20">
        <v>2025</v>
      </c>
      <c r="M29" s="20">
        <v>2026</v>
      </c>
      <c r="N29" s="20">
        <v>2027</v>
      </c>
      <c r="O29" s="20">
        <v>2028</v>
      </c>
      <c r="P29" s="20">
        <v>2029</v>
      </c>
      <c r="Q29" s="20">
        <v>2030</v>
      </c>
      <c r="R29" s="20">
        <v>2030</v>
      </c>
      <c r="S29" s="20">
        <v>2030</v>
      </c>
    </row>
    <row r="30" spans="2:25" ht="15.95" customHeight="1" x14ac:dyDescent="0.25">
      <c r="B30" s="23" t="s">
        <v>18</v>
      </c>
      <c r="C30" s="53" t="s">
        <v>7</v>
      </c>
      <c r="D30" s="54">
        <v>147131</v>
      </c>
      <c r="E30" s="54">
        <v>145662</v>
      </c>
      <c r="F30" s="54">
        <v>144173</v>
      </c>
      <c r="G30" s="55">
        <v>142650</v>
      </c>
      <c r="H30" s="54">
        <v>141121</v>
      </c>
      <c r="I30" s="54">
        <v>139587</v>
      </c>
      <c r="J30" s="54">
        <v>138039</v>
      </c>
      <c r="K30" s="54">
        <v>136487</v>
      </c>
      <c r="L30" s="54">
        <v>134903</v>
      </c>
      <c r="M30" s="54">
        <v>133428</v>
      </c>
      <c r="N30" s="54">
        <v>131830</v>
      </c>
      <c r="O30" s="54">
        <v>130224</v>
      </c>
      <c r="P30" s="54">
        <v>128662</v>
      </c>
      <c r="Q30" s="54">
        <v>127102</v>
      </c>
      <c r="R30" s="54">
        <v>125533</v>
      </c>
      <c r="S30" s="54">
        <v>124012</v>
      </c>
      <c r="T30" s="57" t="s">
        <v>29</v>
      </c>
    </row>
    <row r="31" spans="2:25" ht="15.95" customHeight="1" x14ac:dyDescent="0.25">
      <c r="B31" s="23" t="s">
        <v>25</v>
      </c>
      <c r="C31" s="53" t="s">
        <v>7</v>
      </c>
      <c r="D31" s="21" t="s">
        <v>26</v>
      </c>
      <c r="E31" s="21">
        <f t="shared" ref="E31:F31" si="31">E30-D30</f>
        <v>-1469</v>
      </c>
      <c r="F31" s="21">
        <f t="shared" si="31"/>
        <v>-1489</v>
      </c>
      <c r="G31" s="40">
        <f>G30-F30</f>
        <v>-1523</v>
      </c>
      <c r="H31" s="21">
        <f t="shared" ref="H31:Q31" si="32">H30-G30</f>
        <v>-1529</v>
      </c>
      <c r="I31" s="21">
        <f t="shared" si="32"/>
        <v>-1534</v>
      </c>
      <c r="J31" s="21">
        <f t="shared" si="32"/>
        <v>-1548</v>
      </c>
      <c r="K31" s="21">
        <f t="shared" si="32"/>
        <v>-1552</v>
      </c>
      <c r="L31" s="21">
        <f t="shared" si="32"/>
        <v>-1584</v>
      </c>
      <c r="M31" s="21">
        <f t="shared" si="32"/>
        <v>-1475</v>
      </c>
      <c r="N31" s="21">
        <f t="shared" si="32"/>
        <v>-1598</v>
      </c>
      <c r="O31" s="21">
        <f t="shared" si="32"/>
        <v>-1606</v>
      </c>
      <c r="P31" s="21">
        <f t="shared" si="32"/>
        <v>-1562</v>
      </c>
      <c r="Q31" s="21">
        <f t="shared" si="32"/>
        <v>-1560</v>
      </c>
      <c r="R31" s="21">
        <f t="shared" ref="R31" si="33">R30-Q30</f>
        <v>-1569</v>
      </c>
      <c r="S31" s="21">
        <f t="shared" ref="S31" si="34">S30-R30</f>
        <v>-1521</v>
      </c>
      <c r="T31" s="7" t="s">
        <v>27</v>
      </c>
    </row>
    <row r="32" spans="2:25" ht="15.95" customHeight="1" x14ac:dyDescent="0.25">
      <c r="B32" s="23" t="s">
        <v>25</v>
      </c>
      <c r="C32" s="53" t="s">
        <v>3</v>
      </c>
      <c r="D32" s="24" t="s">
        <v>26</v>
      </c>
      <c r="E32" s="24">
        <f t="shared" ref="E32:F32" si="35">E31/D30</f>
        <v>-9.9842997057044396E-3</v>
      </c>
      <c r="F32" s="24">
        <f t="shared" si="35"/>
        <v>-1.0222295451112849E-2</v>
      </c>
      <c r="G32" s="56">
        <f>G31/F30</f>
        <v>-1.0563697779750716E-2</v>
      </c>
      <c r="H32" s="24">
        <f t="shared" ref="H32:Q32" si="36">H31/G30</f>
        <v>-1.0718541885734316E-2</v>
      </c>
      <c r="I32" s="24">
        <f t="shared" si="36"/>
        <v>-1.0870104378512057E-2</v>
      </c>
      <c r="J32" s="24">
        <f t="shared" si="36"/>
        <v>-1.1089857938060135E-2</v>
      </c>
      <c r="K32" s="24">
        <f t="shared" si="36"/>
        <v>-1.1243199385680858E-2</v>
      </c>
      <c r="L32" s="24">
        <f t="shared" si="36"/>
        <v>-1.1605500890194671E-2</v>
      </c>
      <c r="M32" s="24">
        <f t="shared" si="36"/>
        <v>-1.0933782050806876E-2</v>
      </c>
      <c r="N32" s="24">
        <f t="shared" si="36"/>
        <v>-1.1976496687351981E-2</v>
      </c>
      <c r="O32" s="24">
        <f t="shared" si="36"/>
        <v>-1.2182356064628688E-2</v>
      </c>
      <c r="P32" s="24">
        <f t="shared" si="36"/>
        <v>-1.1994716795675145E-2</v>
      </c>
      <c r="Q32" s="24">
        <f t="shared" si="36"/>
        <v>-1.2124792090904852E-2</v>
      </c>
      <c r="R32" s="24">
        <f t="shared" ref="R32" si="37">R31/Q30</f>
        <v>-1.2344416295573634E-2</v>
      </c>
      <c r="S32" s="24">
        <f t="shared" ref="S32" si="38">S31/R30</f>
        <v>-1.211633594353676E-2</v>
      </c>
      <c r="T32" s="7" t="s">
        <v>27</v>
      </c>
    </row>
    <row r="33" spans="2:20" ht="15.95" customHeight="1" x14ac:dyDescent="0.25">
      <c r="B33" s="23" t="s">
        <v>19</v>
      </c>
      <c r="C33" s="53" t="s">
        <v>7</v>
      </c>
      <c r="D33" s="54">
        <v>11620</v>
      </c>
      <c r="E33" s="54">
        <v>11924</v>
      </c>
      <c r="F33" s="54">
        <v>12056</v>
      </c>
      <c r="G33" s="55">
        <v>11852</v>
      </c>
      <c r="H33" s="21">
        <f t="shared" ref="H33:Q33" si="39">G33+G33*H32</f>
        <v>11724.963841570278</v>
      </c>
      <c r="I33" s="21">
        <f t="shared" si="39"/>
        <v>11597.512260778129</v>
      </c>
      <c r="J33" s="21">
        <f t="shared" si="39"/>
        <v>11468.897497371188</v>
      </c>
      <c r="K33" s="21">
        <f t="shared" si="39"/>
        <v>11339.950396074308</v>
      </c>
      <c r="L33" s="21">
        <f t="shared" si="39"/>
        <v>11208.344591657904</v>
      </c>
      <c r="M33" s="21">
        <f t="shared" si="39"/>
        <v>11085.794994742377</v>
      </c>
      <c r="N33" s="21">
        <f t="shared" si="39"/>
        <v>10953.026007711182</v>
      </c>
      <c r="O33" s="21">
        <f t="shared" si="39"/>
        <v>10819.592344900106</v>
      </c>
      <c r="P33" s="21">
        <f t="shared" si="39"/>
        <v>10689.814398878374</v>
      </c>
      <c r="Q33" s="21">
        <f t="shared" si="39"/>
        <v>10560.202621801613</v>
      </c>
      <c r="R33" s="21">
        <f t="shared" ref="R33" si="40">Q33+Q33*R32</f>
        <v>10429.843084472486</v>
      </c>
      <c r="S33" s="21">
        <f t="shared" ref="S33" si="41">R33+R33*S32</f>
        <v>10303.471601822645</v>
      </c>
      <c r="T33" s="57" t="s">
        <v>28</v>
      </c>
    </row>
  </sheetData>
  <mergeCells count="1">
    <mergeCell ref="B25:S27"/>
  </mergeCells>
  <phoneticPr fontId="9" type="noConversion"/>
  <hyperlinks>
    <hyperlink ref="T30" r:id="rId1" xr:uid="{71E73A78-51A5-4E8A-89FA-AAF9F195F9B5}"/>
    <hyperlink ref="T33" r:id="rId2" xr:uid="{452B37FB-0706-4EE8-AFA9-94527EC9E173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Tarbimine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Liina Mürk - INFRAGATE</dc:creator>
  <cp:lastModifiedBy>Kristo Kärmas - INFRAGATE</cp:lastModifiedBy>
  <dcterms:created xsi:type="dcterms:W3CDTF">2016-02-08T10:08:35Z</dcterms:created>
  <dcterms:modified xsi:type="dcterms:W3CDTF">2021-02-05T15:50:03Z</dcterms:modified>
</cp:coreProperties>
</file>